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ГД\ССБЦиДР\УЦП\ОЦПпоКВ\МТР\цены на ПЕРЕДАННЫЙ МТР\0-Мельников\Отработаный рынок\СЗ 0337 от 31.01.2011 Кабеля АО «Русперфоратор»  М.В.В\Заявки\"/>
    </mc:Choice>
  </mc:AlternateContent>
  <bookViews>
    <workbookView xWindow="0" yWindow="0" windowWidth="28800" windowHeight="12435"/>
  </bookViews>
  <sheets>
    <sheet name="Кабель" sheetId="6" r:id="rId1"/>
    <sheet name="Колодцы" sheetId="7" state="hidden" r:id="rId2"/>
    <sheet name="Сравнительный анализ" sheetId="8" state="hidden" r:id="rId3"/>
    <sheet name="ЖДТ" sheetId="9" state="hidden" r:id="rId4"/>
  </sheets>
  <definedNames>
    <definedName name="_xlnm._FilterDatabase" localSheetId="0" hidden="1">Кабель!$A$3:$E$3</definedName>
    <definedName name="_xlnm.Print_Area" localSheetId="0">Кабель!$A$1:$H$3</definedName>
    <definedName name="_xlnm.Print_Area" localSheetId="1">Колодцы!$A$1:$AA$24</definedName>
    <definedName name="_xlnm.Print_Area" localSheetId="2">'Сравнительный анализ'!$A$1:$F$16</definedName>
  </definedNames>
  <calcPr calcId="152511"/>
</workbook>
</file>

<file path=xl/calcChain.xml><?xml version="1.0" encoding="utf-8"?>
<calcChain xmlns="http://schemas.openxmlformats.org/spreadsheetml/2006/main">
  <c r="G9" i="8" l="1"/>
  <c r="G10" i="8"/>
  <c r="G12" i="8"/>
  <c r="G13" i="8"/>
  <c r="G14" i="8"/>
  <c r="G8" i="8"/>
  <c r="I9" i="8" l="1"/>
  <c r="I10" i="8"/>
  <c r="I12" i="8"/>
  <c r="I13" i="8"/>
  <c r="I14" i="8"/>
  <c r="I8" i="8"/>
  <c r="F9" i="8"/>
  <c r="F10" i="8"/>
  <c r="F12" i="8"/>
  <c r="F13" i="8"/>
  <c r="F14" i="8"/>
  <c r="F8" i="8"/>
  <c r="X13" i="7" l="1"/>
  <c r="X12" i="7"/>
  <c r="J13" i="7" l="1"/>
  <c r="I12" i="7"/>
  <c r="U13" i="7"/>
  <c r="P13" i="7"/>
  <c r="O13" i="7"/>
  <c r="E13" i="7"/>
  <c r="V13" i="7" s="1"/>
  <c r="Q12" i="7"/>
  <c r="K17" i="7" l="1"/>
  <c r="K12" i="7" s="1"/>
  <c r="V12" i="7" s="1"/>
  <c r="M18" i="7"/>
  <c r="M12" i="7" l="1"/>
  <c r="W12" i="7" s="1"/>
  <c r="G12" i="7"/>
  <c r="H12" i="7"/>
  <c r="Q19" i="7"/>
  <c r="R19" i="7" s="1"/>
  <c r="R12" i="7" s="1"/>
  <c r="S12" i="7" s="1"/>
  <c r="U12" i="7" s="1"/>
  <c r="F12" i="7"/>
  <c r="N18" i="7" l="1"/>
  <c r="L17" i="7"/>
  <c r="L13" i="7" s="1"/>
  <c r="N13" i="7" l="1"/>
  <c r="W13" i="7" s="1"/>
</calcChain>
</file>

<file path=xl/sharedStrings.xml><?xml version="1.0" encoding="utf-8"?>
<sst xmlns="http://schemas.openxmlformats.org/spreadsheetml/2006/main" count="127" uniqueCount="74">
  <si>
    <t>ФОРМА по согласованию среднерегиональной стоимости на металлоконструкции для объектов ООО "РН-Юганскнефтегаз" по лотам ЦАУК, ДО на 2017г.</t>
  </si>
  <si>
    <t>без НДС</t>
  </si>
  <si>
    <t>№ п/п</t>
  </si>
  <si>
    <t>Наименование МТР</t>
  </si>
  <si>
    <t>ед. изм.</t>
  </si>
  <si>
    <t>ООО «Завод металлоконструкций «Энергия» (ООО «ЗМК  «Энергия») КП от 24.01.2017г.</t>
  </si>
  <si>
    <t>ООО ПКФ "Импульс", КП от 25.01.2017</t>
  </si>
  <si>
    <t>ООО "Альянс-Металл" (ТМ "Урал-Конструкция"), исх. № 25/01-3 от 25.01.2017</t>
  </si>
  <si>
    <t>Франко склад Поставщика</t>
  </si>
  <si>
    <t>г. Сургут</t>
  </si>
  <si>
    <t>г. Тюмень</t>
  </si>
  <si>
    <t>г. Челябинск</t>
  </si>
  <si>
    <t>т</t>
  </si>
  <si>
    <t>в том числе:</t>
  </si>
  <si>
    <t>цена МК без АКЗ, марка стали С255</t>
  </si>
  <si>
    <t>+</t>
  </si>
  <si>
    <t>цена МК без АКЗ, марка стали С345</t>
  </si>
  <si>
    <t xml:space="preserve">Грунтовочный ЛКМ -цинкосодержащий эпокс. с  толщ. 75-80 мкм </t>
  </si>
  <si>
    <t>Грунтовочный ЛКМ -цинкосодержащий эпокс. с  толщ. 75-80 мкм , покрывной ЛКМ -  Полиуретан с рекомендуемой толщ. 125-135 мкм</t>
  </si>
  <si>
    <t>затраты по доставке до г.Нефтеюганска</t>
  </si>
  <si>
    <t>Дата: на 01.02.2017</t>
  </si>
  <si>
    <t>Вес, тн</t>
  </si>
  <si>
    <t>с доставкой</t>
  </si>
  <si>
    <t>ООО "СибПромСтрой № 2"</t>
  </si>
  <si>
    <t>ЗАО МИПТУС счет № 06 от 25.01.2017</t>
  </si>
  <si>
    <t>ООО "Стальные Конструкции", КП от 24.01.2017г.</t>
  </si>
  <si>
    <t>ООО "ПромСнабСургут", исх. № 79 от 23.01.2017</t>
  </si>
  <si>
    <t>Оптимальная стоимость колодцев</t>
  </si>
  <si>
    <t>Ед. изм.</t>
  </si>
  <si>
    <r>
      <t xml:space="preserve">Металлоконструкции </t>
    </r>
    <r>
      <rPr>
        <b/>
        <sz val="12"/>
        <color rgb="FF0000FF"/>
        <rFont val="Calibri"/>
        <family val="2"/>
        <scheme val="minor"/>
      </rPr>
      <t>колодцев С255</t>
    </r>
  </si>
  <si>
    <r>
      <t xml:space="preserve">Металлоконструкции </t>
    </r>
    <r>
      <rPr>
        <b/>
        <sz val="12"/>
        <color rgb="FF0000FF"/>
        <rFont val="Calibri"/>
        <family val="2"/>
        <scheme val="minor"/>
      </rPr>
      <t>колодцев С345</t>
    </r>
  </si>
  <si>
    <t>Цена МК без АКЗ</t>
  </si>
  <si>
    <t>ООО "Паркнефть"</t>
  </si>
  <si>
    <t>Подрядчик</t>
  </si>
  <si>
    <t>ОПТИМ ЦЕНА ДЛЯ НМЦ</t>
  </si>
  <si>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sz val="11"/>
        <color theme="1"/>
        <rFont val="Calibri"/>
        <family val="2"/>
        <charset val="204"/>
        <scheme val="minor"/>
      </rPr>
      <t xml:space="preserve"> 
* Грунтовочный слоей  – цинкосодержащая эпоксидная грунтовка: толщина 75-80 мкм (Jotamastic Universal, Цинотан).</t>
    </r>
  </si>
  <si>
    <r>
      <rPr>
        <b/>
        <u/>
        <sz val="11"/>
        <color rgb="FFFF0000"/>
        <rFont val="Calibri"/>
        <family val="2"/>
        <charset val="204"/>
        <scheme val="minor"/>
      </rPr>
      <t xml:space="preserve">ВЫВОД:
</t>
    </r>
    <r>
      <rPr>
        <b/>
        <sz val="11"/>
        <rFont val="Calibri"/>
        <family val="2"/>
        <charset val="204"/>
        <scheme val="minor"/>
      </rPr>
      <t xml:space="preserve">Предлагаю принять для включения в расчет стоимости МТР поставки Подрядчика при формировании НМЦ лотов, как по новым закупкам, так и по закупкам под «твердую» стоимость среднерыночную стоимость (определенную оптимальным значением).
</t>
    </r>
    <r>
      <rPr>
        <b/>
        <u/>
        <sz val="11"/>
        <rFont val="Calibri"/>
        <family val="2"/>
        <charset val="204"/>
        <scheme val="minor"/>
      </rPr>
      <t>МК колодцев марки стали С255</t>
    </r>
    <r>
      <rPr>
        <b/>
        <sz val="11"/>
        <rFont val="Calibri"/>
        <family val="2"/>
        <charset val="204"/>
        <scheme val="minor"/>
      </rPr>
      <t xml:space="preserve">:
- без АКЗ - 75 000;
- грунтовочный ЛКМ -цинкосодержащий эпокс. толщ. 75-80 мкм - 82 000;
</t>
    </r>
    <r>
      <rPr>
        <b/>
        <u/>
        <sz val="11"/>
        <rFont val="Calibri"/>
        <family val="2"/>
        <charset val="204"/>
        <scheme val="minor"/>
      </rPr>
      <t>МК колодцев марки стали С345:</t>
    </r>
    <r>
      <rPr>
        <b/>
        <sz val="11"/>
        <rFont val="Calibri"/>
        <family val="2"/>
        <charset val="204"/>
        <scheme val="minor"/>
      </rPr>
      <t xml:space="preserve">
- без АКЗ - 78 000;
- грунтовочный ЛКМ -цинкосодержащий эпокс. толщ. 75-80 мкм - 85 000;
Доля грунтовочного слоя цинкосодержащего эпоксида примерно составляет 7 000 руб. тн.
Цены указаны за тонну МК (без учета НДС, транспортных расходов и ЗСР), до проведения более углубленного анализа рынка по изготовителям металлоконструкций по регионам ХМАО и актуализацией среднерыночной стоимости тонны готовой металлоконструкции. 
Транспортные расходы указываются в унифицированной форме (гр. 24) указываются в соответствии с прикладываемым алгоритмом расчета (на основании транспортной схемы и учтенного процента доп. транспорта в объектной смете РД). 
</t>
    </r>
  </si>
  <si>
    <r>
      <t>Металлоконструкции</t>
    </r>
    <r>
      <rPr>
        <b/>
        <sz val="12"/>
        <color rgb="FF0000FF"/>
        <rFont val="Calibri"/>
        <family val="2"/>
        <charset val="204"/>
        <scheme val="minor"/>
      </rPr>
      <t xml:space="preserve"> для несущих конструкций (балки, опоры) марка стали С 345 ГОСТ 27772-88 </t>
    </r>
  </si>
  <si>
    <r>
      <t xml:space="preserve">Металлоконструкции </t>
    </r>
    <r>
      <rPr>
        <b/>
        <sz val="12"/>
        <color rgb="FF0000FF"/>
        <rFont val="Calibri"/>
        <family val="2"/>
        <charset val="204"/>
        <scheme val="minor"/>
      </rPr>
      <t xml:space="preserve">для вспомогательных конструкций (лестницы, площадки обслуживания, ограждения площадок и лестниц) марка стали С 255 ГОСТ 27772-88  </t>
    </r>
  </si>
  <si>
    <t>Без АКЛ</t>
  </si>
  <si>
    <t>Грунт ГФ</t>
  </si>
  <si>
    <t>Грунт цинотан</t>
  </si>
  <si>
    <t>2018г.</t>
  </si>
  <si>
    <t>2017г.</t>
  </si>
  <si>
    <t>рост, %</t>
  </si>
  <si>
    <t>СПРАВОЧНО с учетом ООО "КМК"</t>
  </si>
  <si>
    <t>Приложение 1</t>
  </si>
  <si>
    <t>кол-во</t>
  </si>
  <si>
    <t>Цена за ед.изммерения без НДС</t>
  </si>
  <si>
    <t>Доставка Авто/ЖД</t>
  </si>
  <si>
    <t xml:space="preserve">Наименование </t>
  </si>
  <si>
    <t>Дата: 09.02.2022</t>
  </si>
  <si>
    <t>Кабель монтажный для промышленных сетей опасных производственных объектов, с токопроводящими жилами из медных проволок,  без экранов, без брони, не распространяющий горение при групповой прокладке по категории А, огнестойкий с пониженным дымо- и газовыделением , номинальное переменное напряжение- 660В.ИнСил-Анг(А)-FRLS 1х2х0,5–660</t>
  </si>
  <si>
    <t>км</t>
  </si>
  <si>
    <t>Кабель монтажный для промышленных сетей опасных производственных объектов, с токопроводящими жилами из медных проволок,  без экранов, без брони, не распространяющий горение при групповой прокладке по категории А, огнестойкий с пониженным дымо- и газовыделением , номинальное переменное напряжение- 660В. ИнСил -Азнг(А)-FRLS-ХЛ-660 2х2х1,0</t>
  </si>
  <si>
    <t xml:space="preserve">Кабель монтажный для промышленных сетей опасных производственных объектов, с токопроводящими жилами из медных проволок,  без экранов, без брони, не распространяющий горение при групповой прокладке по категории А, огнестойкий с пониженным дымо- и газовыделением , номинальное переменное напряжение- 660В. ИнСил -Азнг(А)-FRLS-ХЛ 4х2х1,0-660 </t>
  </si>
  <si>
    <t xml:space="preserve">Кабель монтажный с многопроволочными медными токопроводящими  общей скрутки, в общем экране, без брони, с круглым поперечным сечением, с огнестойкой изоляцией, с пониженным дымо- и газо-выделением, не распространяющий горение при груп-повой прокладке ИнСил-ОЭвзнг(А) FRLS 7х1,0-660  </t>
  </si>
  <si>
    <t xml:space="preserve">Кабель монтажный с многопроволочными медными токопроводящими жилами, общей скрутки, в общем экране, без брони, с круглым поперечным сечением, не распространяющий горение при групповой прокладке, с пониженным дымо- и газовыделением, с изоляцией и оболочкой из полимерных материалов ИнСил-ОЭвзнг(А) LS 4х1,0 </t>
  </si>
  <si>
    <t>Кабель монтажный с многопроволочными медными токопроводящими жилами, общей скрутки, в общем экране, без брони, с круглым поперечным сечением, с водоблокирующими элементами, не распространяющий горение при групповой прокладке, с изоляцией и оболочкой из полимерных материалов ИнСил-ОЭвзнг(А) ХЛ 4х1,0</t>
  </si>
  <si>
    <t xml:space="preserve">Кабель монтажный с многопроволочными медными токопроводящими жилами, общей скрутки, в общем экране, без брони, с круглым поперечным сечением, с водоблокирующими элементами, не распространяющий горение при групповой прокладке, с изоляцией и оболочкой из полимерных материалов ИнСил-ОЭвзнг(А) ХЛ 5х1,0 </t>
  </si>
  <si>
    <t xml:space="preserve">Кабель монтажный с многопроволочными медными токопроводящими жилами, общей скрутки, в общем экране, без брони, с круглым поперечным сечением, с водоблокирующими элементами, не распространяющий горение при групповой прокладке, с изоляцией и оболочкой из полимерных материалов ИнСил-ОЭвзнг(А) ХЛ 7х1,0 </t>
  </si>
  <si>
    <t xml:space="preserve">Кабель монтажный с многопроволочными медными токопроводящими жилами, общей скрутки, в общем экране, без брони, с круглым поперечным сечением, с водоблокирующими элементами, не распространяющий горение при групповой прокладке, с изоляцией и оболочкой из полимерных материалов ИнСил-ОЭвзнг(А) ХЛ 10х1,0 </t>
  </si>
  <si>
    <t xml:space="preserve">Кабель монтажный с многопроволочными медными токопроводящими жилами, общей скрутки, в общем экране, без брони, с круглым поперечным сечением, с огнестойкой изоляцией, с пониженным дымо- и газо-выделением, не распространяющий горение при груп-повой прокладке. ИнСил-ОЭвзнг(А) FRLS 10х1,0 </t>
  </si>
  <si>
    <t>Кабель монтажный с многопроволочными медными токопроводящими жилами, парной скрутки, в общем экране из фольгированного материала, без брони, с водоблокирующими элементами, с круглым поперечным сечением, с изоляцией из поливинилхлоридного пластиката, не распространяющий горение при групповой прокладке. ИнСил-ОЭвзнг(А) ХЛ 2х2х1,0</t>
  </si>
  <si>
    <t>Кабель монтажный с многопроволочными медными токопроводящими жилами, парной скрутки, в общем экране из фольгированного материала, без брони, с водоблокирующими элементами, с круглым поперечным сечением, с изоляцией из поливинилхлоридного пластиката, не распространяющий горение при групповой прокладке. ИнСил-ОЭвзнг(А) ХЛ 3х2х1,0</t>
  </si>
  <si>
    <t xml:space="preserve">Кабель монтажный с многопроволочными медными токопроводящими жилами, парной скрутки, в общем экране из фольгированного материала, без брони, с водоблокирующими элементами, с круглым поперечным сечением, с изоляцией из поливинилхлоридного пластиката, не распространяющий горение при групповой прокладке. ИнСил-ОЭвзнг(А) ХЛ 4х2х1,0 </t>
  </si>
  <si>
    <t xml:space="preserve">Кабель монтажный с многопроволочными медными токопроводящими жилами, парной скрутки, в общем экране из фольгированного материала, без брони, с водоблокирующими элементами, с круглым поперечным сечением, с изоляцией из поливинилхлоридного пластиката, не распространяющий горение при групповой прокладке. ИнСил-ОЭвзнг(А) ХЛ 5х2х1,0 </t>
  </si>
  <si>
    <t xml:space="preserve">Кабель монтажный с многопроволочными медными токопроводящими жилами, парной скрутки, в общем экране из фольгированного материала, без брони, с водоблокирующими элементами, с круглым поперечным сечением, с изоляцией из поливинилхлоридного пластиката, не распространяющий горение при групповой прокладке. ИнСил-ОЭвзнг(А) ХЛ 6х2х1,0 </t>
  </si>
  <si>
    <t>Кабель симметричный для СКС (F/UTP) категории 5е, нераспространение горения при групповой прокладке (категория А), в оболочке из полимерной композиции, не содержащей галогенов, черного цвета СПЕЦЛАН F/UTP Cat 5e ZH нг(А)-HF 4х2х0,52</t>
  </si>
  <si>
    <t>Кабель симметричный для СКС (U/UTP) категории 5е, нераспространение горения при групповой прокладке (категория А), в оболочке из полимерной композиции, не содержащей галогенов, черного цвета СПЕЦЛАН U/UTP Cat 5e PVC LS нг(А) 4х2х0,52</t>
  </si>
  <si>
    <t>Провод ПуГВ 1х6</t>
  </si>
  <si>
    <t>м</t>
  </si>
  <si>
    <t>Провода неизолированные медные гибкие для электрических установок и антенн марки МГ, сечением 6 мм2</t>
  </si>
  <si>
    <t>0,745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</si>
</sst>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_р_."/>
    <numFmt numFmtId="166" formatCode="#,##0.000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name val="Arial Cyr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charset val="204"/>
    </font>
    <font>
      <b/>
      <sz val="12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u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FF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18" fillId="0" borderId="0" applyNumberFormat="0">
      <protection locked="0"/>
    </xf>
    <xf numFmtId="164" fontId="19" fillId="0" borderId="0" applyFont="0" applyFill="0" applyBorder="0" applyAlignment="0" applyProtection="0"/>
    <xf numFmtId="0" fontId="1" fillId="0" borderId="0"/>
  </cellStyleXfs>
  <cellXfs count="133">
    <xf numFmtId="0" fontId="0" fillId="0" borderId="0" xfId="0"/>
    <xf numFmtId="0" fontId="2" fillId="0" borderId="0" xfId="0" applyFont="1"/>
    <xf numFmtId="0" fontId="6" fillId="0" borderId="0" xfId="0" applyFont="1" applyAlignment="1"/>
    <xf numFmtId="0" fontId="7" fillId="0" borderId="0" xfId="0" applyFont="1"/>
    <xf numFmtId="0" fontId="6" fillId="0" borderId="0" xfId="0" applyFont="1" applyAlignment="1">
      <alignment horizontal="centerContinuous" vertical="center" wrapText="1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/>
    <xf numFmtId="0" fontId="9" fillId="0" borderId="3" xfId="0" applyFont="1" applyBorder="1" applyAlignment="1"/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 wrapText="1"/>
    </xf>
    <xf numFmtId="0" fontId="2" fillId="0" borderId="0" xfId="2" applyFont="1"/>
    <xf numFmtId="0" fontId="2" fillId="0" borderId="2" xfId="0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4" fontId="1" fillId="0" borderId="2" xfId="2" applyNumberFormat="1" applyFont="1" applyBorder="1" applyAlignment="1"/>
    <xf numFmtId="4" fontId="2" fillId="0" borderId="0" xfId="2" applyNumberFormat="1" applyFont="1" applyAlignment="1"/>
    <xf numFmtId="0" fontId="0" fillId="0" borderId="0" xfId="0" applyFill="1"/>
    <xf numFmtId="165" fontId="15" fillId="0" borderId="2" xfId="0" applyNumberFormat="1" applyFont="1" applyFill="1" applyBorder="1" applyAlignment="1">
      <alignment horizontal="center" vertical="center" wrapText="1" shrinkToFit="1"/>
    </xf>
    <xf numFmtId="4" fontId="1" fillId="0" borderId="6" xfId="2" applyNumberFormat="1" applyFont="1" applyBorder="1" applyAlignment="1"/>
    <xf numFmtId="165" fontId="15" fillId="0" borderId="2" xfId="0" applyNumberFormat="1" applyFont="1" applyFill="1" applyBorder="1" applyAlignment="1">
      <alignment horizontal="right" vertical="center" wrapText="1" shrinkToFit="1"/>
    </xf>
    <xf numFmtId="4" fontId="1" fillId="4" borderId="7" xfId="2" applyNumberFormat="1" applyFont="1" applyFill="1" applyBorder="1" applyAlignment="1"/>
    <xf numFmtId="4" fontId="2" fillId="4" borderId="2" xfId="2" applyNumberFormat="1" applyFont="1" applyFill="1" applyBorder="1" applyAlignment="1">
      <alignment horizontal="center"/>
    </xf>
    <xf numFmtId="4" fontId="1" fillId="4" borderId="2" xfId="2" applyNumberFormat="1" applyFont="1" applyFill="1" applyBorder="1" applyAlignment="1"/>
    <xf numFmtId="0" fontId="9" fillId="0" borderId="0" xfId="0" applyFont="1" applyBorder="1" applyAlignment="1"/>
    <xf numFmtId="0" fontId="8" fillId="0" borderId="0" xfId="0" applyFont="1" applyAlignment="1">
      <alignment horizontal="right"/>
    </xf>
    <xf numFmtId="4" fontId="1" fillId="0" borderId="2" xfId="2" applyNumberFormat="1" applyFont="1" applyFill="1" applyBorder="1" applyAlignment="1"/>
    <xf numFmtId="0" fontId="13" fillId="0" borderId="7" xfId="2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4" fontId="2" fillId="4" borderId="7" xfId="2" applyNumberFormat="1" applyFont="1" applyFill="1" applyBorder="1" applyAlignment="1">
      <alignment horizontal="center"/>
    </xf>
    <xf numFmtId="10" fontId="0" fillId="0" borderId="0" xfId="0" applyNumberFormat="1" applyAlignment="1">
      <alignment horizontal="right"/>
    </xf>
    <xf numFmtId="165" fontId="15" fillId="5" borderId="2" xfId="0" applyNumberFormat="1" applyFont="1" applyFill="1" applyBorder="1" applyAlignment="1">
      <alignment horizontal="center" vertical="center" wrapText="1" shrinkToFit="1"/>
    </xf>
    <xf numFmtId="0" fontId="0" fillId="5" borderId="2" xfId="0" applyFill="1" applyBorder="1"/>
    <xf numFmtId="4" fontId="2" fillId="5" borderId="2" xfId="2" applyNumberFormat="1" applyFont="1" applyFill="1" applyBorder="1" applyAlignment="1">
      <alignment horizontal="center"/>
    </xf>
    <xf numFmtId="4" fontId="1" fillId="5" borderId="2" xfId="2" applyNumberFormat="1" applyFont="1" applyFill="1" applyBorder="1" applyAlignment="1"/>
    <xf numFmtId="166" fontId="16" fillId="0" borderId="2" xfId="0" applyNumberFormat="1" applyFont="1" applyFill="1" applyBorder="1" applyAlignment="1">
      <alignment vertical="center" wrapText="1" shrinkToFit="1"/>
    </xf>
    <xf numFmtId="165" fontId="20" fillId="0" borderId="2" xfId="0" applyNumberFormat="1" applyFont="1" applyFill="1" applyBorder="1" applyAlignment="1">
      <alignment vertical="center" wrapText="1" shrinkToFit="1"/>
    </xf>
    <xf numFmtId="0" fontId="2" fillId="0" borderId="12" xfId="0" applyFont="1" applyFill="1" applyBorder="1" applyAlignment="1">
      <alignment vertical="center" wrapText="1"/>
    </xf>
    <xf numFmtId="4" fontId="2" fillId="0" borderId="0" xfId="2" applyNumberFormat="1" applyFont="1" applyFill="1" applyBorder="1" applyAlignment="1"/>
    <xf numFmtId="4" fontId="2" fillId="0" borderId="0" xfId="2" applyNumberFormat="1" applyFont="1" applyBorder="1" applyAlignment="1"/>
    <xf numFmtId="4" fontId="1" fillId="7" borderId="2" xfId="2" applyNumberFormat="1" applyFont="1" applyFill="1" applyBorder="1" applyAlignment="1"/>
    <xf numFmtId="0" fontId="0" fillId="0" borderId="0" xfId="0" applyAlignment="1">
      <alignment wrapText="1"/>
    </xf>
    <xf numFmtId="164" fontId="23" fillId="6" borderId="1" xfId="1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/>
    </xf>
    <xf numFmtId="164" fontId="4" fillId="0" borderId="7" xfId="1" applyFont="1" applyFill="1" applyBorder="1" applyAlignment="1">
      <alignment horizontal="center" vertical="center" wrapText="1"/>
    </xf>
    <xf numFmtId="10" fontId="1" fillId="4" borderId="2" xfId="2" applyNumberFormat="1" applyFont="1" applyFill="1" applyBorder="1" applyAlignment="1"/>
    <xf numFmtId="4" fontId="0" fillId="4" borderId="2" xfId="2" applyNumberFormat="1" applyFont="1" applyFill="1" applyBorder="1" applyAlignment="1">
      <alignment horizontal="center"/>
    </xf>
    <xf numFmtId="4" fontId="0" fillId="0" borderId="2" xfId="0" applyNumberFormat="1" applyFont="1" applyFill="1" applyBorder="1"/>
    <xf numFmtId="4" fontId="16" fillId="7" borderId="2" xfId="2" applyNumberFormat="1" applyFont="1" applyFill="1" applyBorder="1" applyAlignment="1"/>
    <xf numFmtId="4" fontId="16" fillId="0" borderId="2" xfId="2" applyNumberFormat="1" applyFont="1" applyFill="1" applyBorder="1" applyAlignment="1"/>
    <xf numFmtId="4" fontId="0" fillId="8" borderId="2" xfId="0" applyNumberFormat="1" applyFont="1" applyFill="1" applyBorder="1"/>
    <xf numFmtId="165" fontId="15" fillId="5" borderId="7" xfId="0" applyNumberFormat="1" applyFont="1" applyFill="1" applyBorder="1" applyAlignment="1">
      <alignment horizontal="center" vertical="center" wrapText="1" shrinkToFit="1"/>
    </xf>
    <xf numFmtId="0" fontId="0" fillId="0" borderId="2" xfId="0" applyBorder="1"/>
    <xf numFmtId="165" fontId="15" fillId="0" borderId="0" xfId="0" applyNumberFormat="1" applyFont="1" applyFill="1" applyBorder="1" applyAlignment="1">
      <alignment vertical="center" wrapText="1" shrinkToFit="1"/>
    </xf>
    <xf numFmtId="165" fontId="15" fillId="4" borderId="7" xfId="0" applyNumberFormat="1" applyFont="1" applyFill="1" applyBorder="1" applyAlignment="1">
      <alignment horizontal="center" vertical="center" wrapText="1" shrinkToFit="1"/>
    </xf>
    <xf numFmtId="0" fontId="0" fillId="10" borderId="0" xfId="0" applyFill="1"/>
    <xf numFmtId="4" fontId="24" fillId="0" borderId="2" xfId="2" applyNumberFormat="1" applyFont="1" applyFill="1" applyBorder="1" applyAlignment="1"/>
    <xf numFmtId="4" fontId="16" fillId="11" borderId="2" xfId="2" applyNumberFormat="1" applyFont="1" applyFill="1" applyBorder="1" applyAlignment="1"/>
    <xf numFmtId="165" fontId="25" fillId="3" borderId="2" xfId="0" applyNumberFormat="1" applyFont="1" applyFill="1" applyBorder="1" applyAlignment="1">
      <alignment horizontal="center" vertical="center" wrapText="1" shrinkToFit="1"/>
    </xf>
    <xf numFmtId="4" fontId="17" fillId="9" borderId="4" xfId="0" applyNumberFormat="1" applyFont="1" applyFill="1" applyBorder="1"/>
    <xf numFmtId="0" fontId="0" fillId="5" borderId="1" xfId="0" applyFill="1" applyBorder="1"/>
    <xf numFmtId="0" fontId="0" fillId="5" borderId="7" xfId="0" applyFill="1" applyBorder="1"/>
    <xf numFmtId="4" fontId="11" fillId="7" borderId="14" xfId="2" applyNumberFormat="1" applyFont="1" applyFill="1" applyBorder="1" applyAlignment="1"/>
    <xf numFmtId="4" fontId="17" fillId="8" borderId="15" xfId="0" applyNumberFormat="1" applyFont="1" applyFill="1" applyBorder="1"/>
    <xf numFmtId="4" fontId="11" fillId="7" borderId="16" xfId="2" applyNumberFormat="1" applyFont="1" applyFill="1" applyBorder="1" applyAlignment="1"/>
    <xf numFmtId="4" fontId="17" fillId="8" borderId="17" xfId="0" applyNumberFormat="1" applyFont="1" applyFill="1" applyBorder="1"/>
    <xf numFmtId="165" fontId="25" fillId="9" borderId="2" xfId="0" applyNumberFormat="1" applyFont="1" applyFill="1" applyBorder="1" applyAlignment="1">
      <alignment horizontal="center" vertical="center" wrapText="1" shrinkToFit="1"/>
    </xf>
    <xf numFmtId="0" fontId="0" fillId="9" borderId="2" xfId="0" applyFill="1" applyBorder="1"/>
    <xf numFmtId="4" fontId="17" fillId="7" borderId="2" xfId="0" applyNumberFormat="1" applyFont="1" applyFill="1" applyBorder="1"/>
    <xf numFmtId="4" fontId="17" fillId="8" borderId="2" xfId="0" applyNumberFormat="1" applyFont="1" applyFill="1" applyBorder="1"/>
    <xf numFmtId="165" fontId="11" fillId="6" borderId="2" xfId="0" applyNumberFormat="1" applyFont="1" applyFill="1" applyBorder="1" applyAlignment="1">
      <alignment vertical="center" wrapText="1" shrinkToFit="1"/>
    </xf>
    <xf numFmtId="165" fontId="11" fillId="0" borderId="2" xfId="0" applyNumberFormat="1" applyFont="1" applyFill="1" applyBorder="1" applyAlignment="1">
      <alignment vertical="center" wrapText="1" shrinkToFit="1"/>
    </xf>
    <xf numFmtId="0" fontId="30" fillId="6" borderId="2" xfId="0" applyFont="1" applyFill="1" applyBorder="1" applyAlignment="1">
      <alignment horizontal="center" vertical="center" wrapText="1"/>
    </xf>
    <xf numFmtId="0" fontId="28" fillId="6" borderId="2" xfId="2" applyFont="1" applyFill="1" applyBorder="1" applyAlignment="1">
      <alignment horizontal="center" vertical="center"/>
    </xf>
    <xf numFmtId="4" fontId="8" fillId="12" borderId="18" xfId="0" applyNumberFormat="1" applyFont="1" applyFill="1" applyBorder="1" applyAlignment="1">
      <alignment horizontal="center" vertical="center" wrapText="1"/>
    </xf>
    <xf numFmtId="4" fontId="8" fillId="12" borderId="2" xfId="0" applyNumberFormat="1" applyFont="1" applyFill="1" applyBorder="1" applyAlignment="1">
      <alignment horizontal="center" vertical="center" wrapText="1"/>
    </xf>
    <xf numFmtId="4" fontId="8" fillId="12" borderId="19" xfId="0" applyNumberFormat="1" applyFont="1" applyFill="1" applyBorder="1" applyAlignment="1">
      <alignment horizontal="center" vertical="center" wrapText="1"/>
    </xf>
    <xf numFmtId="10" fontId="8" fillId="12" borderId="19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23" fillId="6" borderId="0" xfId="0" applyFont="1" applyFill="1" applyBorder="1" applyAlignment="1">
      <alignment horizontal="center" vertical="center"/>
    </xf>
    <xf numFmtId="4" fontId="8" fillId="12" borderId="0" xfId="0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4" fontId="8" fillId="3" borderId="18" xfId="0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10" fontId="31" fillId="12" borderId="19" xfId="0" applyNumberFormat="1" applyFont="1" applyFill="1" applyBorder="1" applyAlignment="1">
      <alignment horizontal="center" vertical="center" wrapText="1"/>
    </xf>
    <xf numFmtId="10" fontId="31" fillId="3" borderId="19" xfId="0" applyNumberFormat="1" applyFont="1" applyFill="1" applyBorder="1" applyAlignment="1">
      <alignment horizontal="center" vertical="center" wrapText="1"/>
    </xf>
    <xf numFmtId="4" fontId="8" fillId="3" borderId="19" xfId="0" applyNumberFormat="1" applyFont="1" applyFill="1" applyBorder="1" applyAlignment="1">
      <alignment horizontal="center" vertical="center" wrapText="1"/>
    </xf>
    <xf numFmtId="4" fontId="31" fillId="12" borderId="0" xfId="0" applyNumberFormat="1" applyFont="1" applyFill="1" applyBorder="1" applyAlignment="1">
      <alignment horizontal="center" vertical="center" wrapText="1"/>
    </xf>
    <xf numFmtId="0" fontId="32" fillId="0" borderId="2" xfId="2" applyFont="1" applyBorder="1"/>
    <xf numFmtId="0" fontId="32" fillId="0" borderId="0" xfId="2" applyFont="1"/>
    <xf numFmtId="0" fontId="32" fillId="0" borderId="2" xfId="2" applyFont="1" applyBorder="1" applyAlignment="1">
      <alignment horizontal="center" vertical="center" wrapText="1"/>
    </xf>
    <xf numFmtId="0" fontId="32" fillId="0" borderId="2" xfId="2" applyFont="1" applyBorder="1" applyAlignment="1">
      <alignment horizontal="center" vertical="center"/>
    </xf>
    <xf numFmtId="0" fontId="32" fillId="0" borderId="0" xfId="2" applyFont="1" applyBorder="1" applyAlignment="1">
      <alignment vertical="center"/>
    </xf>
    <xf numFmtId="0" fontId="32" fillId="0" borderId="0" xfId="2" applyFont="1" applyBorder="1"/>
    <xf numFmtId="0" fontId="32" fillId="0" borderId="5" xfId="2" applyFont="1" applyBorder="1" applyAlignment="1">
      <alignment horizontal="center" vertical="center"/>
    </xf>
    <xf numFmtId="0" fontId="32" fillId="0" borderId="2" xfId="2" applyFont="1" applyBorder="1" applyAlignment="1">
      <alignment wrapText="1"/>
    </xf>
    <xf numFmtId="0" fontId="33" fillId="0" borderId="2" xfId="0" applyFont="1" applyBorder="1" applyAlignment="1">
      <alignment vertical="center" wrapText="1"/>
    </xf>
    <xf numFmtId="0" fontId="33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4" fontId="33" fillId="0" borderId="2" xfId="0" applyNumberFormat="1" applyFont="1" applyBorder="1" applyAlignment="1">
      <alignment horizontal="right" vertical="center" wrapText="1"/>
    </xf>
    <xf numFmtId="1" fontId="28" fillId="0" borderId="2" xfId="5" applyNumberFormat="1" applyFont="1" applyBorder="1" applyAlignment="1">
      <alignment horizontal="center" vertical="center"/>
    </xf>
    <xf numFmtId="1" fontId="34" fillId="0" borderId="2" xfId="0" applyNumberFormat="1" applyFont="1" applyBorder="1" applyAlignment="1">
      <alignment horizontal="center" vertical="center"/>
    </xf>
    <xf numFmtId="0" fontId="32" fillId="0" borderId="2" xfId="2" applyFont="1" applyBorder="1" applyAlignment="1">
      <alignment horizontal="center" vertical="center" wrapText="1"/>
    </xf>
    <xf numFmtId="0" fontId="32" fillId="0" borderId="0" xfId="2" applyFont="1" applyBorder="1" applyAlignment="1">
      <alignment horizontal="center" vertical="center"/>
    </xf>
    <xf numFmtId="165" fontId="25" fillId="9" borderId="5" xfId="0" applyNumberFormat="1" applyFont="1" applyFill="1" applyBorder="1" applyAlignment="1">
      <alignment horizontal="center" vertical="center" wrapText="1" shrinkToFit="1"/>
    </xf>
    <xf numFmtId="165" fontId="25" fillId="9" borderId="4" xfId="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 vertical="top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65" fontId="15" fillId="5" borderId="2" xfId="0" applyNumberFormat="1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5" fillId="2" borderId="2" xfId="1" applyFont="1" applyFill="1" applyBorder="1" applyAlignment="1">
      <alignment horizontal="center" vertical="center" wrapText="1"/>
    </xf>
    <xf numFmtId="164" fontId="12" fillId="2" borderId="2" xfId="1" applyFont="1" applyFill="1" applyBorder="1" applyAlignment="1">
      <alignment horizontal="center" vertical="center" wrapText="1"/>
    </xf>
    <xf numFmtId="164" fontId="4" fillId="2" borderId="2" xfId="1" applyFont="1" applyFill="1" applyBorder="1" applyAlignment="1">
      <alignment horizontal="center" vertical="center" wrapText="1"/>
    </xf>
    <xf numFmtId="4" fontId="1" fillId="4" borderId="5" xfId="2" applyNumberFormat="1" applyFont="1" applyFill="1" applyBorder="1" applyAlignment="1">
      <alignment horizontal="center"/>
    </xf>
    <xf numFmtId="4" fontId="1" fillId="4" borderId="6" xfId="2" applyNumberFormat="1" applyFont="1" applyFill="1" applyBorder="1" applyAlignment="1">
      <alignment horizontal="center"/>
    </xf>
    <xf numFmtId="4" fontId="1" fillId="4" borderId="4" xfId="2" applyNumberFormat="1" applyFont="1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6">
    <cellStyle name="Обычный" xfId="0" builtinId="0"/>
    <cellStyle name="Обычный 2" xfId="3"/>
    <cellStyle name="Обычный 3" xfId="2"/>
    <cellStyle name="Обычный 60 2" xfId="5"/>
    <cellStyle name="Финансовый 2" xfId="1"/>
    <cellStyle name="Финансовый 4" xfId="4"/>
  </cellStyles>
  <dxfs count="0"/>
  <tableStyles count="0" defaultTableStyle="TableStyleMedium2" defaultPivotStyle="PivotStyleLight16"/>
  <colors>
    <mruColors>
      <color rgb="FF0000FF"/>
      <color rgb="FFFFFFCC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114300</xdr:rowOff>
    </xdr:from>
    <xdr:to>
      <xdr:col>18</xdr:col>
      <xdr:colOff>506236</xdr:colOff>
      <xdr:row>41</xdr:row>
      <xdr:rowOff>38100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114300"/>
          <a:ext cx="11383787" cy="7734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tabSelected="1" topLeftCell="B1" zoomScale="85" zoomScaleNormal="85" zoomScaleSheetLayoutView="100" workbookViewId="0">
      <selection activeCell="B7" sqref="B7"/>
    </sheetView>
  </sheetViews>
  <sheetFormatPr defaultRowHeight="15" x14ac:dyDescent="0.25"/>
  <cols>
    <col min="1" max="1" width="4.28515625" style="93" customWidth="1"/>
    <col min="2" max="2" width="195.140625" style="93" customWidth="1"/>
    <col min="3" max="3" width="4.7109375" style="93" customWidth="1"/>
    <col min="4" max="4" width="5.85546875" style="93" customWidth="1"/>
    <col min="5" max="5" width="19.140625" style="93" customWidth="1"/>
    <col min="6" max="6" width="12.140625" style="93" customWidth="1"/>
    <col min="7" max="7" width="11.5703125" style="93" customWidth="1"/>
    <col min="8" max="16384" width="9.140625" style="93"/>
  </cols>
  <sheetData>
    <row r="1" spans="1:9" ht="19.5" customHeight="1" x14ac:dyDescent="0.25">
      <c r="A1" s="96"/>
      <c r="B1" s="96"/>
      <c r="C1" s="96"/>
      <c r="D1" s="96"/>
      <c r="E1" s="96"/>
      <c r="F1" s="96"/>
      <c r="G1" s="96"/>
      <c r="H1" s="96" t="s">
        <v>46</v>
      </c>
    </row>
    <row r="2" spans="1:9" ht="11.25" customHeight="1" x14ac:dyDescent="0.25">
      <c r="A2" s="107" t="s">
        <v>51</v>
      </c>
      <c r="B2" s="107"/>
      <c r="C2" s="107"/>
      <c r="D2" s="97"/>
      <c r="E2" s="97"/>
      <c r="F2" s="97"/>
      <c r="G2" s="97"/>
      <c r="H2" s="97"/>
      <c r="I2" s="97"/>
    </row>
    <row r="3" spans="1:9" ht="52.5" customHeight="1" x14ac:dyDescent="0.25">
      <c r="A3" s="99" t="s">
        <v>2</v>
      </c>
      <c r="B3" s="95" t="s">
        <v>50</v>
      </c>
      <c r="C3" s="94" t="s">
        <v>4</v>
      </c>
      <c r="D3" s="94" t="s">
        <v>47</v>
      </c>
      <c r="E3" s="94" t="s">
        <v>48</v>
      </c>
      <c r="F3" s="106" t="s">
        <v>49</v>
      </c>
      <c r="G3" s="106"/>
      <c r="H3" s="92"/>
    </row>
    <row r="4" spans="1:9" ht="31.5" x14ac:dyDescent="0.25">
      <c r="A4" s="98">
        <v>1</v>
      </c>
      <c r="B4" s="100" t="s">
        <v>52</v>
      </c>
      <c r="C4" s="101" t="s">
        <v>53</v>
      </c>
      <c r="D4" s="105" t="s">
        <v>73</v>
      </c>
      <c r="E4" s="103"/>
      <c r="F4" s="92"/>
      <c r="G4" s="92"/>
      <c r="H4" s="92"/>
    </row>
    <row r="5" spans="1:9" ht="31.5" x14ac:dyDescent="0.25">
      <c r="A5" s="95">
        <v>2</v>
      </c>
      <c r="B5" s="100" t="s">
        <v>54</v>
      </c>
      <c r="C5" s="101" t="s">
        <v>53</v>
      </c>
      <c r="D5" s="102">
        <v>0.52700000000000002</v>
      </c>
      <c r="E5" s="103"/>
      <c r="F5" s="92"/>
      <c r="G5" s="92"/>
      <c r="H5" s="92"/>
    </row>
    <row r="6" spans="1:9" ht="31.5" x14ac:dyDescent="0.25">
      <c r="A6" s="98">
        <v>3</v>
      </c>
      <c r="B6" s="100" t="s">
        <v>55</v>
      </c>
      <c r="C6" s="101" t="s">
        <v>53</v>
      </c>
      <c r="D6" s="102">
        <v>0.85099999999999998</v>
      </c>
      <c r="E6" s="103"/>
      <c r="F6" s="92"/>
      <c r="G6" s="92"/>
      <c r="H6" s="92"/>
    </row>
    <row r="7" spans="1:9" ht="31.5" x14ac:dyDescent="0.25">
      <c r="A7" s="95">
        <v>4</v>
      </c>
      <c r="B7" s="100" t="s">
        <v>56</v>
      </c>
      <c r="C7" s="101" t="s">
        <v>53</v>
      </c>
      <c r="D7" s="102">
        <v>0.52400000000000002</v>
      </c>
      <c r="E7" s="103"/>
      <c r="F7" s="92"/>
      <c r="G7" s="92"/>
      <c r="H7" s="92"/>
    </row>
    <row r="8" spans="1:9" ht="31.5" x14ac:dyDescent="0.25">
      <c r="A8" s="98">
        <v>5</v>
      </c>
      <c r="B8" s="100" t="s">
        <v>57</v>
      </c>
      <c r="C8" s="101" t="s">
        <v>53</v>
      </c>
      <c r="D8" s="102">
        <v>0.35</v>
      </c>
      <c r="E8" s="103"/>
      <c r="F8" s="92"/>
      <c r="G8" s="92"/>
      <c r="H8" s="92"/>
    </row>
    <row r="9" spans="1:9" ht="31.5" x14ac:dyDescent="0.25">
      <c r="A9" s="95">
        <v>6</v>
      </c>
      <c r="B9" s="100" t="s">
        <v>58</v>
      </c>
      <c r="C9" s="101" t="s">
        <v>53</v>
      </c>
      <c r="D9" s="102">
        <v>0.86699999999999999</v>
      </c>
      <c r="E9" s="103"/>
      <c r="F9" s="92"/>
      <c r="G9" s="92"/>
      <c r="H9" s="92"/>
    </row>
    <row r="10" spans="1:9" ht="31.5" x14ac:dyDescent="0.25">
      <c r="A10" s="98">
        <v>7</v>
      </c>
      <c r="B10" s="100" t="s">
        <v>59</v>
      </c>
      <c r="C10" s="101" t="s">
        <v>53</v>
      </c>
      <c r="D10" s="102">
        <v>0.39700000000000002</v>
      </c>
      <c r="E10" s="103"/>
      <c r="F10" s="92"/>
      <c r="G10" s="92"/>
      <c r="H10" s="92"/>
    </row>
    <row r="11" spans="1:9" ht="31.5" x14ac:dyDescent="0.25">
      <c r="A11" s="95">
        <v>8</v>
      </c>
      <c r="B11" s="100" t="s">
        <v>60</v>
      </c>
      <c r="C11" s="101" t="s">
        <v>53</v>
      </c>
      <c r="D11" s="102">
        <v>0.76500000000000001</v>
      </c>
      <c r="E11" s="103"/>
      <c r="F11" s="92"/>
      <c r="G11" s="92"/>
      <c r="H11" s="92"/>
    </row>
    <row r="12" spans="1:9" ht="31.5" x14ac:dyDescent="0.25">
      <c r="A12" s="98">
        <v>9</v>
      </c>
      <c r="B12" s="100" t="s">
        <v>61</v>
      </c>
      <c r="C12" s="101" t="s">
        <v>53</v>
      </c>
      <c r="D12" s="102">
        <v>0.77100000000000002</v>
      </c>
      <c r="E12" s="103"/>
      <c r="F12" s="92"/>
      <c r="G12" s="92"/>
      <c r="H12" s="92"/>
    </row>
    <row r="13" spans="1:9" ht="31.5" x14ac:dyDescent="0.25">
      <c r="A13" s="95">
        <v>10</v>
      </c>
      <c r="B13" s="100" t="s">
        <v>62</v>
      </c>
      <c r="C13" s="101" t="s">
        <v>53</v>
      </c>
      <c r="D13" s="102">
        <v>0.41199999999999998</v>
      </c>
      <c r="E13" s="103"/>
      <c r="F13" s="92"/>
      <c r="G13" s="92"/>
      <c r="H13" s="92"/>
    </row>
    <row r="14" spans="1:9" ht="32.25" customHeight="1" x14ac:dyDescent="0.25">
      <c r="A14" s="98">
        <v>11</v>
      </c>
      <c r="B14" s="100" t="s">
        <v>63</v>
      </c>
      <c r="C14" s="101" t="s">
        <v>53</v>
      </c>
      <c r="D14" s="101">
        <v>1.6830000000000001</v>
      </c>
      <c r="E14" s="103"/>
      <c r="F14" s="92"/>
      <c r="G14" s="92"/>
      <c r="H14" s="92"/>
    </row>
    <row r="15" spans="1:9" ht="31.5" customHeight="1" x14ac:dyDescent="0.25">
      <c r="A15" s="95">
        <v>12</v>
      </c>
      <c r="B15" s="100" t="s">
        <v>64</v>
      </c>
      <c r="C15" s="101" t="s">
        <v>53</v>
      </c>
      <c r="D15" s="102">
        <v>1.153</v>
      </c>
      <c r="E15" s="103"/>
      <c r="F15" s="92"/>
      <c r="G15" s="92"/>
      <c r="H15" s="92"/>
    </row>
    <row r="16" spans="1:9" ht="35.25" customHeight="1" x14ac:dyDescent="0.25">
      <c r="A16" s="98">
        <v>13</v>
      </c>
      <c r="B16" s="100" t="s">
        <v>65</v>
      </c>
      <c r="C16" s="101" t="s">
        <v>53</v>
      </c>
      <c r="D16" s="102">
        <v>1.194</v>
      </c>
      <c r="E16" s="103"/>
      <c r="F16" s="92"/>
      <c r="G16" s="92"/>
      <c r="H16" s="92"/>
    </row>
    <row r="17" spans="1:8" ht="36" customHeight="1" x14ac:dyDescent="0.25">
      <c r="A17" s="95">
        <v>14</v>
      </c>
      <c r="B17" s="100" t="s">
        <v>66</v>
      </c>
      <c r="C17" s="101" t="s">
        <v>53</v>
      </c>
      <c r="D17" s="102">
        <v>0.51500000000000001</v>
      </c>
      <c r="E17" s="103"/>
      <c r="F17" s="92"/>
      <c r="G17" s="92"/>
      <c r="H17" s="92"/>
    </row>
    <row r="18" spans="1:8" ht="34.5" customHeight="1" x14ac:dyDescent="0.25">
      <c r="A18" s="98">
        <v>15</v>
      </c>
      <c r="B18" s="100" t="s">
        <v>67</v>
      </c>
      <c r="C18" s="101" t="s">
        <v>53</v>
      </c>
      <c r="D18" s="102">
        <v>0.255</v>
      </c>
      <c r="E18" s="103"/>
      <c r="F18" s="92"/>
      <c r="G18" s="92"/>
      <c r="H18" s="92"/>
    </row>
    <row r="19" spans="1:8" ht="31.5" x14ac:dyDescent="0.25">
      <c r="A19" s="95">
        <v>16</v>
      </c>
      <c r="B19" s="100" t="s">
        <v>68</v>
      </c>
      <c r="C19" s="101" t="s">
        <v>53</v>
      </c>
      <c r="D19" s="102">
        <v>0.53600000000000003</v>
      </c>
      <c r="E19" s="103"/>
      <c r="F19" s="92"/>
      <c r="G19" s="92"/>
      <c r="H19" s="92"/>
    </row>
    <row r="20" spans="1:8" ht="31.5" x14ac:dyDescent="0.25">
      <c r="A20" s="98">
        <v>17</v>
      </c>
      <c r="B20" s="100" t="s">
        <v>69</v>
      </c>
      <c r="C20" s="101" t="s">
        <v>53</v>
      </c>
      <c r="D20" s="102">
        <v>0.41199999999999998</v>
      </c>
      <c r="E20" s="103"/>
      <c r="F20" s="92"/>
      <c r="G20" s="92"/>
      <c r="H20" s="92"/>
    </row>
    <row r="21" spans="1:8" ht="15.75" x14ac:dyDescent="0.25">
      <c r="A21" s="95">
        <v>18</v>
      </c>
      <c r="B21" s="100" t="s">
        <v>70</v>
      </c>
      <c r="C21" s="101" t="s">
        <v>71</v>
      </c>
      <c r="D21" s="102">
        <v>388.54</v>
      </c>
      <c r="E21" s="103"/>
      <c r="F21" s="92"/>
      <c r="G21" s="92"/>
      <c r="H21" s="92"/>
    </row>
    <row r="22" spans="1:8" ht="15.75" x14ac:dyDescent="0.25">
      <c r="A22" s="98">
        <v>19</v>
      </c>
      <c r="B22" s="100" t="s">
        <v>72</v>
      </c>
      <c r="C22" s="104" t="s">
        <v>12</v>
      </c>
      <c r="D22" s="102">
        <v>0.23499999999999999</v>
      </c>
      <c r="E22" s="103"/>
      <c r="F22" s="92"/>
      <c r="G22" s="92"/>
      <c r="H22" s="92"/>
    </row>
  </sheetData>
  <sortState ref="A4:D23">
    <sortCondition ref="B4:B23"/>
  </sortState>
  <mergeCells count="2">
    <mergeCell ref="F3:G3"/>
    <mergeCell ref="A2:C2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5" orientation="landscape" r:id="rId1"/>
  <ignoredErrors>
    <ignoredError sqref="D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view="pageBreakPreview" topLeftCell="B8" zoomScale="70" zoomScaleNormal="65" zoomScaleSheetLayoutView="70" workbookViewId="0">
      <pane xSplit="3" ySplit="5" topLeftCell="E13" activePane="bottomRight" state="frozen"/>
      <selection activeCell="B8" sqref="B8"/>
      <selection pane="topRight" activeCell="E8" sqref="E8"/>
      <selection pane="bottomLeft" activeCell="B13" sqref="B13"/>
      <selection pane="bottomRight" activeCell="P23" sqref="P23"/>
    </sheetView>
  </sheetViews>
  <sheetFormatPr defaultRowHeight="15" x14ac:dyDescent="0.25"/>
  <cols>
    <col min="1" max="1" width="4.140625" customWidth="1"/>
    <col min="2" max="2" width="66" customWidth="1"/>
    <col min="3" max="3" width="6.28515625" customWidth="1"/>
    <col min="4" max="4" width="9.85546875" customWidth="1"/>
    <col min="5" max="5" width="14.28515625" customWidth="1"/>
    <col min="6" max="6" width="13.28515625" customWidth="1"/>
    <col min="7" max="7" width="12.42578125" customWidth="1"/>
    <col min="8" max="8" width="12.140625" customWidth="1"/>
    <col min="9" max="9" width="10.7109375" customWidth="1"/>
    <col min="10" max="10" width="12.85546875" customWidth="1"/>
    <col min="11" max="11" width="10.7109375" customWidth="1"/>
    <col min="12" max="12" width="10.5703125" customWidth="1"/>
    <col min="13" max="14" width="10" customWidth="1"/>
    <col min="15" max="15" width="13.140625" customWidth="1"/>
    <col min="16" max="16" width="12.5703125" customWidth="1"/>
    <col min="17" max="19" width="14" customWidth="1"/>
    <col min="20" max="20" width="3.140625" customWidth="1"/>
    <col min="21" max="21" width="21.7109375" customWidth="1"/>
    <col min="22" max="22" width="20.85546875" customWidth="1"/>
    <col min="23" max="23" width="19.42578125" hidden="1" customWidth="1"/>
    <col min="24" max="25" width="19.42578125" customWidth="1"/>
    <col min="27" max="27" width="17.140625" customWidth="1"/>
  </cols>
  <sheetData>
    <row r="1" spans="1:29" ht="14.45" x14ac:dyDescent="0.3">
      <c r="C1" s="1"/>
      <c r="D1" s="1"/>
    </row>
    <row r="2" spans="1:29" ht="14.45" x14ac:dyDescent="0.3">
      <c r="C2" s="1"/>
      <c r="D2" s="1"/>
    </row>
    <row r="3" spans="1:29" ht="18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3"/>
      <c r="S3" s="3"/>
      <c r="T3" s="3"/>
    </row>
    <row r="4" spans="1:29" ht="18.75" x14ac:dyDescent="0.3">
      <c r="A4" s="4" t="s">
        <v>0</v>
      </c>
      <c r="B4" s="5"/>
      <c r="C4" s="5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3"/>
    </row>
    <row r="5" spans="1:29" ht="18" x14ac:dyDescent="0.35">
      <c r="A5" s="4"/>
      <c r="B5" s="5"/>
      <c r="C5" s="5"/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3"/>
    </row>
    <row r="6" spans="1:29" ht="18.75" x14ac:dyDescent="0.3">
      <c r="B6" s="8" t="s">
        <v>20</v>
      </c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7"/>
      <c r="P6" s="7"/>
      <c r="Q6" s="7"/>
      <c r="R6" s="7"/>
      <c r="S6" s="7"/>
    </row>
    <row r="7" spans="1:29" ht="18" x14ac:dyDescent="0.35">
      <c r="B7" s="27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7"/>
      <c r="P7" s="7"/>
      <c r="Q7" s="7"/>
      <c r="R7" s="7"/>
      <c r="S7" s="7"/>
    </row>
    <row r="8" spans="1:29" ht="18.75" x14ac:dyDescent="0.3">
      <c r="B8" s="27"/>
      <c r="C8" s="9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7"/>
      <c r="P8" s="7"/>
      <c r="Q8" s="7"/>
      <c r="R8" s="7"/>
      <c r="S8" s="7"/>
      <c r="W8" s="28"/>
      <c r="X8" s="28"/>
      <c r="Y8" s="28"/>
      <c r="AA8" s="28" t="s">
        <v>1</v>
      </c>
    </row>
    <row r="9" spans="1:29" ht="28.9" customHeight="1" x14ac:dyDescent="0.25">
      <c r="B9" s="126" t="s">
        <v>3</v>
      </c>
      <c r="C9" s="127" t="s">
        <v>4</v>
      </c>
      <c r="D9" s="127" t="s">
        <v>21</v>
      </c>
      <c r="E9" s="125" t="s">
        <v>25</v>
      </c>
      <c r="F9" s="125" t="s">
        <v>24</v>
      </c>
      <c r="G9" s="125" t="s">
        <v>26</v>
      </c>
      <c r="H9" s="125" t="s">
        <v>23</v>
      </c>
      <c r="I9" s="125" t="s">
        <v>5</v>
      </c>
      <c r="J9" s="125"/>
      <c r="K9" s="125"/>
      <c r="L9" s="125"/>
      <c r="M9" s="125"/>
      <c r="N9" s="125"/>
      <c r="O9" s="115" t="s">
        <v>6</v>
      </c>
      <c r="P9" s="117"/>
      <c r="Q9" s="111" t="s">
        <v>7</v>
      </c>
      <c r="R9" s="112"/>
      <c r="S9" s="112"/>
      <c r="U9" s="118" t="s">
        <v>27</v>
      </c>
      <c r="V9" s="118"/>
      <c r="W9" s="118"/>
      <c r="X9" s="108" t="s">
        <v>34</v>
      </c>
      <c r="Y9" s="109"/>
      <c r="Z9" s="58"/>
      <c r="AA9" s="21" t="s">
        <v>33</v>
      </c>
      <c r="AB9" s="56"/>
      <c r="AC9" s="56"/>
    </row>
    <row r="10" spans="1:29" ht="135" x14ac:dyDescent="0.25">
      <c r="A10" s="47"/>
      <c r="B10" s="126"/>
      <c r="C10" s="127"/>
      <c r="D10" s="127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13"/>
      <c r="P10" s="119"/>
      <c r="Q10" s="113"/>
      <c r="R10" s="114"/>
      <c r="S10" s="114"/>
      <c r="T10" s="11"/>
      <c r="U10" s="54" t="s">
        <v>31</v>
      </c>
      <c r="V10" s="34" t="s">
        <v>17</v>
      </c>
      <c r="W10" s="61" t="s">
        <v>18</v>
      </c>
      <c r="X10" s="69" t="s">
        <v>31</v>
      </c>
      <c r="Y10" s="69" t="s">
        <v>17</v>
      </c>
      <c r="Z10" s="58"/>
      <c r="AA10" s="57" t="s">
        <v>32</v>
      </c>
    </row>
    <row r="11" spans="1:29" ht="18" customHeight="1" thickBot="1" x14ac:dyDescent="0.3">
      <c r="A11" s="12"/>
      <c r="B11" s="13" t="s">
        <v>8</v>
      </c>
      <c r="C11" s="14"/>
      <c r="D11" s="14"/>
      <c r="E11" s="15" t="s">
        <v>9</v>
      </c>
      <c r="F11" s="15" t="s">
        <v>9</v>
      </c>
      <c r="G11" s="15" t="s">
        <v>9</v>
      </c>
      <c r="H11" s="15" t="s">
        <v>9</v>
      </c>
      <c r="I11" s="122" t="s">
        <v>10</v>
      </c>
      <c r="J11" s="123"/>
      <c r="K11" s="123"/>
      <c r="L11" s="123"/>
      <c r="M11" s="123"/>
      <c r="N11" s="124"/>
      <c r="O11" s="122" t="s">
        <v>9</v>
      </c>
      <c r="P11" s="124"/>
      <c r="Q11" s="115" t="s">
        <v>11</v>
      </c>
      <c r="R11" s="116"/>
      <c r="S11" s="117"/>
      <c r="T11" s="40"/>
      <c r="U11" s="63"/>
      <c r="V11" s="63"/>
      <c r="W11" s="35"/>
      <c r="X11" s="70"/>
      <c r="Y11" s="70"/>
      <c r="Z11" s="58"/>
      <c r="AA11" s="55"/>
    </row>
    <row r="12" spans="1:29" ht="15.75" x14ac:dyDescent="0.25">
      <c r="A12" s="16">
        <v>1</v>
      </c>
      <c r="B12" s="39" t="s">
        <v>29</v>
      </c>
      <c r="C12" s="17" t="s">
        <v>12</v>
      </c>
      <c r="D12" s="38">
        <v>101.13200000000001</v>
      </c>
      <c r="E12" s="50"/>
      <c r="F12" s="29">
        <f>10794218.03/1.18/D12</f>
        <v>90452.501664211959</v>
      </c>
      <c r="G12" s="29">
        <f>13725358.15/1.18/D12</f>
        <v>115014.62889246276</v>
      </c>
      <c r="H12" s="59">
        <f>95000/1.18</f>
        <v>80508.474576271197</v>
      </c>
      <c r="I12" s="51">
        <f>(46000+44000+I19)/1.18</f>
        <v>80084.745762711871</v>
      </c>
      <c r="J12" s="52"/>
      <c r="K12" s="53">
        <f>(46000+44000+K17)/1.18</f>
        <v>81779.661016949161</v>
      </c>
      <c r="L12" s="52"/>
      <c r="M12" s="60">
        <f>(46000+44000+M18+I19)/1.18</f>
        <v>90677.966101694925</v>
      </c>
      <c r="N12" s="52"/>
      <c r="O12" s="29"/>
      <c r="P12" s="29"/>
      <c r="Q12" s="29">
        <f>75000/1.18</f>
        <v>63559.322033898308</v>
      </c>
      <c r="R12" s="29">
        <f>Q12*R19</f>
        <v>6885.5932203389839</v>
      </c>
      <c r="S12" s="43">
        <f>Q12+R12</f>
        <v>70444.91525423729</v>
      </c>
      <c r="T12" s="41"/>
      <c r="U12" s="65">
        <f>(S12+I12)/2</f>
        <v>75264.830508474581</v>
      </c>
      <c r="V12" s="66">
        <f>K12</f>
        <v>81779.661016949161</v>
      </c>
      <c r="W12" s="62">
        <f>M12</f>
        <v>90677.966101694925</v>
      </c>
      <c r="X12" s="71">
        <f>Y12-7000</f>
        <v>75000</v>
      </c>
      <c r="Y12" s="72">
        <v>82000</v>
      </c>
      <c r="Z12" s="58"/>
      <c r="AA12" s="59">
        <v>138471.31</v>
      </c>
    </row>
    <row r="13" spans="1:29" ht="16.5" thickBot="1" x14ac:dyDescent="0.3">
      <c r="A13" s="16"/>
      <c r="B13" s="39" t="s">
        <v>30</v>
      </c>
      <c r="C13" s="17" t="s">
        <v>12</v>
      </c>
      <c r="D13" s="38"/>
      <c r="E13" s="53">
        <f>11039334/110.393/1.18</f>
        <v>84746.023720799058</v>
      </c>
      <c r="F13" s="29"/>
      <c r="G13" s="29"/>
      <c r="H13" s="29"/>
      <c r="I13" s="52"/>
      <c r="J13" s="51">
        <f>(46000+48000)/1.18</f>
        <v>79661.016949152545</v>
      </c>
      <c r="K13" s="50"/>
      <c r="L13" s="52">
        <f>(46000+48000+L17)/1.18</f>
        <v>85169.491525423728</v>
      </c>
      <c r="M13" s="52"/>
      <c r="N13" s="60">
        <f>(46000+48000+N18+I19)/1.18</f>
        <v>94067.796610169491</v>
      </c>
      <c r="O13" s="29">
        <f>(O16+O17)/1.18</f>
        <v>97457.627118644072</v>
      </c>
      <c r="P13" s="29">
        <f>(P16+P18)/1.18</f>
        <v>105932.20338983051</v>
      </c>
      <c r="Q13" s="29"/>
      <c r="R13" s="29"/>
      <c r="S13" s="29"/>
      <c r="T13" s="41"/>
      <c r="U13" s="67">
        <f>J13</f>
        <v>79661.016949152545</v>
      </c>
      <c r="V13" s="68">
        <f>E13</f>
        <v>84746.023720799058</v>
      </c>
      <c r="W13" s="62">
        <f>N13</f>
        <v>94067.796610169491</v>
      </c>
      <c r="X13" s="71">
        <f>Y13-7000</f>
        <v>78000</v>
      </c>
      <c r="Y13" s="72">
        <v>85000</v>
      </c>
      <c r="Z13" s="58"/>
      <c r="AA13" s="55"/>
    </row>
    <row r="14" spans="1:29" x14ac:dyDescent="0.25">
      <c r="A14" s="16"/>
      <c r="B14" s="21" t="s">
        <v>13</v>
      </c>
      <c r="C14" s="17"/>
      <c r="D14" s="17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18"/>
      <c r="R14" s="18"/>
      <c r="S14" s="18"/>
      <c r="T14" s="42"/>
      <c r="U14" s="64"/>
      <c r="V14" s="64"/>
      <c r="W14" s="35"/>
      <c r="X14" s="35"/>
      <c r="Y14" s="35"/>
      <c r="Z14" s="58"/>
      <c r="AA14" s="55"/>
    </row>
    <row r="15" spans="1:29" x14ac:dyDescent="0.25">
      <c r="A15" s="16"/>
      <c r="B15" s="23" t="s">
        <v>14</v>
      </c>
      <c r="C15" s="17"/>
      <c r="D15" s="30"/>
      <c r="E15" s="24"/>
      <c r="F15" s="25" t="s">
        <v>15</v>
      </c>
      <c r="G15" s="25" t="s">
        <v>15</v>
      </c>
      <c r="H15" s="25" t="s">
        <v>15</v>
      </c>
      <c r="I15" s="25" t="s">
        <v>15</v>
      </c>
      <c r="J15" s="24"/>
      <c r="K15" s="25" t="s">
        <v>15</v>
      </c>
      <c r="L15" s="24"/>
      <c r="M15" s="25" t="s">
        <v>15</v>
      </c>
      <c r="N15" s="24"/>
      <c r="O15" s="24"/>
      <c r="P15" s="24"/>
      <c r="Q15" s="25" t="s">
        <v>15</v>
      </c>
      <c r="R15" s="25"/>
      <c r="S15" s="25" t="s">
        <v>15</v>
      </c>
      <c r="T15" s="19"/>
      <c r="U15" s="36"/>
      <c r="V15" s="36"/>
      <c r="W15" s="36"/>
      <c r="X15" s="36"/>
      <c r="Y15" s="36"/>
      <c r="Z15" s="58"/>
      <c r="AA15" s="55"/>
    </row>
    <row r="16" spans="1:29" x14ac:dyDescent="0.25">
      <c r="A16" s="16"/>
      <c r="B16" s="23" t="s">
        <v>16</v>
      </c>
      <c r="C16" s="17"/>
      <c r="D16" s="17"/>
      <c r="E16" s="25" t="s">
        <v>15</v>
      </c>
      <c r="F16" s="26"/>
      <c r="G16" s="24"/>
      <c r="H16" s="24"/>
      <c r="I16" s="24"/>
      <c r="J16" s="25" t="s">
        <v>15</v>
      </c>
      <c r="K16" s="24"/>
      <c r="L16" s="25" t="s">
        <v>15</v>
      </c>
      <c r="M16" s="32"/>
      <c r="N16" s="25" t="s">
        <v>15</v>
      </c>
      <c r="O16" s="26">
        <v>110000</v>
      </c>
      <c r="P16" s="26">
        <v>110000</v>
      </c>
      <c r="Q16" s="26"/>
      <c r="R16" s="26"/>
      <c r="S16" s="26"/>
      <c r="T16" s="19"/>
      <c r="U16" s="37"/>
      <c r="V16" s="37"/>
      <c r="W16" s="36"/>
      <c r="X16" s="36"/>
      <c r="Y16" s="36"/>
      <c r="Z16" s="58"/>
      <c r="AA16" s="55"/>
    </row>
    <row r="17" spans="1:27" x14ac:dyDescent="0.25">
      <c r="A17" s="16"/>
      <c r="B17" s="23" t="s">
        <v>17</v>
      </c>
      <c r="C17" s="17"/>
      <c r="D17" s="17"/>
      <c r="E17" s="25" t="s">
        <v>15</v>
      </c>
      <c r="F17" s="25"/>
      <c r="G17" s="25"/>
      <c r="H17" s="25"/>
      <c r="I17" s="26"/>
      <c r="J17" s="26"/>
      <c r="K17" s="26">
        <f>6500</f>
        <v>6500</v>
      </c>
      <c r="L17" s="26">
        <f>6500</f>
        <v>6500</v>
      </c>
      <c r="M17" s="26"/>
      <c r="N17" s="26"/>
      <c r="O17" s="26">
        <v>5000</v>
      </c>
      <c r="P17" s="26"/>
      <c r="Q17" s="26"/>
      <c r="R17" s="26"/>
      <c r="S17" s="26"/>
      <c r="T17" s="19"/>
      <c r="U17" s="37"/>
      <c r="V17" s="36"/>
      <c r="W17" s="36"/>
      <c r="X17" s="36"/>
      <c r="Y17" s="36"/>
      <c r="Z17" s="58"/>
      <c r="AA17" s="55"/>
    </row>
    <row r="18" spans="1:27" ht="30" x14ac:dyDescent="0.25">
      <c r="A18" s="16"/>
      <c r="B18" s="23" t="s">
        <v>18</v>
      </c>
      <c r="C18" s="17"/>
      <c r="D18" s="17"/>
      <c r="E18" s="26"/>
      <c r="F18" s="26"/>
      <c r="G18" s="26"/>
      <c r="H18" s="26"/>
      <c r="I18" s="26"/>
      <c r="J18" s="26"/>
      <c r="K18" s="26"/>
      <c r="L18" s="26"/>
      <c r="M18" s="26">
        <f>12500</f>
        <v>12500</v>
      </c>
      <c r="N18" s="26">
        <f>12500</f>
        <v>12500</v>
      </c>
      <c r="O18" s="26"/>
      <c r="P18" s="26">
        <v>15000</v>
      </c>
      <c r="Q18" s="26"/>
      <c r="R18" s="26"/>
      <c r="S18" s="26"/>
      <c r="T18" s="19"/>
      <c r="U18" s="37"/>
      <c r="V18" s="37"/>
      <c r="W18" s="36"/>
      <c r="X18" s="36"/>
      <c r="Y18" s="36"/>
      <c r="Z18" s="58"/>
      <c r="AA18" s="55"/>
    </row>
    <row r="19" spans="1:27" x14ac:dyDescent="0.25">
      <c r="A19" s="16"/>
      <c r="B19" s="23" t="s">
        <v>19</v>
      </c>
      <c r="C19" s="17"/>
      <c r="D19" s="17"/>
      <c r="E19" s="25" t="s">
        <v>15</v>
      </c>
      <c r="F19" s="25" t="s">
        <v>15</v>
      </c>
      <c r="G19" s="25"/>
      <c r="H19" s="25"/>
      <c r="I19" s="128">
        <v>4500</v>
      </c>
      <c r="J19" s="129"/>
      <c r="K19" s="129"/>
      <c r="L19" s="129"/>
      <c r="M19" s="129"/>
      <c r="N19" s="130"/>
      <c r="O19" s="26"/>
      <c r="P19" s="26"/>
      <c r="Q19" s="26">
        <f>65000*(D12/8)</f>
        <v>821697.5</v>
      </c>
      <c r="R19" s="48">
        <f>Q19/(75000*D12)</f>
        <v>0.10833333333333334</v>
      </c>
      <c r="S19" s="49" t="s">
        <v>22</v>
      </c>
      <c r="T19" s="19"/>
      <c r="U19" s="36"/>
      <c r="V19" s="36"/>
      <c r="W19" s="36"/>
      <c r="X19" s="36"/>
      <c r="Y19" s="36"/>
      <c r="Z19" s="58"/>
      <c r="AA19" s="55"/>
    </row>
    <row r="20" spans="1:27" x14ac:dyDescent="0.25">
      <c r="C20" s="1"/>
      <c r="D20" s="1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33"/>
      <c r="R20" s="33"/>
      <c r="S20" s="33"/>
    </row>
    <row r="21" spans="1:27" ht="34.9" customHeight="1" x14ac:dyDescent="0.25">
      <c r="B21" s="110" t="s">
        <v>35</v>
      </c>
      <c r="C21" s="110"/>
      <c r="D21" s="110"/>
      <c r="E21" s="110"/>
      <c r="F21" s="110"/>
      <c r="G21" s="110"/>
      <c r="H21" s="110"/>
      <c r="I21" s="110"/>
    </row>
    <row r="23" spans="1:27" ht="292.89999999999998" customHeight="1" x14ac:dyDescent="0.25">
      <c r="B23" s="120" t="s">
        <v>36</v>
      </c>
      <c r="C23" s="121"/>
      <c r="D23" s="121"/>
      <c r="E23" s="121"/>
      <c r="F23" s="121"/>
      <c r="G23" s="121"/>
      <c r="H23" s="121"/>
      <c r="I23" s="121"/>
      <c r="J23" s="31"/>
      <c r="K23" s="31"/>
      <c r="L23" s="31"/>
      <c r="M23" s="31"/>
      <c r="N23" s="31"/>
    </row>
    <row r="25" spans="1:27" ht="351.6" customHeight="1" x14ac:dyDescent="0.25">
      <c r="B25" s="44"/>
    </row>
  </sheetData>
  <mergeCells count="18">
    <mergeCell ref="B23:I23"/>
    <mergeCell ref="I11:N11"/>
    <mergeCell ref="O11:P11"/>
    <mergeCell ref="E9:E10"/>
    <mergeCell ref="B9:B10"/>
    <mergeCell ref="C9:C10"/>
    <mergeCell ref="D9:D10"/>
    <mergeCell ref="I9:N10"/>
    <mergeCell ref="H9:H10"/>
    <mergeCell ref="G9:G10"/>
    <mergeCell ref="F9:F10"/>
    <mergeCell ref="I19:N19"/>
    <mergeCell ref="X9:Y9"/>
    <mergeCell ref="B21:I21"/>
    <mergeCell ref="Q9:S10"/>
    <mergeCell ref="Q11:S11"/>
    <mergeCell ref="U9:W9"/>
    <mergeCell ref="O9:P10"/>
  </mergeCells>
  <printOptions horizontalCentered="1" verticalCentered="1"/>
  <pageMargins left="0.19685039370078741" right="0.19685039370078741" top="0.19685039370078741" bottom="0.39370078740157483" header="0.31496062992125984" footer="0.31496062992125984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view="pageBreakPreview" topLeftCell="B6" zoomScaleNormal="100" zoomScaleSheetLayoutView="100" workbookViewId="0">
      <pane xSplit="2" ySplit="1" topLeftCell="D7" activePane="bottomRight" state="frozen"/>
      <selection activeCell="B6" sqref="B6"/>
      <selection pane="topRight" activeCell="D6" sqref="D6"/>
      <selection pane="bottomLeft" activeCell="B7" sqref="B7"/>
      <selection pane="bottomRight" activeCell="G8" sqref="G8"/>
    </sheetView>
  </sheetViews>
  <sheetFormatPr defaultRowHeight="15" x14ac:dyDescent="0.25"/>
  <cols>
    <col min="1" max="1" width="0" hidden="1" customWidth="1"/>
    <col min="2" max="2" width="56.28515625" customWidth="1"/>
    <col min="3" max="3" width="7.7109375" customWidth="1"/>
    <col min="4" max="4" width="17.28515625" customWidth="1"/>
    <col min="5" max="5" width="18.140625" customWidth="1"/>
    <col min="6" max="6" width="12.7109375" customWidth="1"/>
    <col min="7" max="7" width="17.85546875" customWidth="1"/>
    <col min="8" max="9" width="9.140625" customWidth="1"/>
  </cols>
  <sheetData>
    <row r="1" spans="2:9" hidden="1" x14ac:dyDescent="0.25"/>
    <row r="2" spans="2:9" hidden="1" x14ac:dyDescent="0.25"/>
    <row r="3" spans="2:9" hidden="1" x14ac:dyDescent="0.25"/>
    <row r="4" spans="2:9" hidden="1" x14ac:dyDescent="0.25"/>
    <row r="5" spans="2:9" hidden="1" x14ac:dyDescent="0.25"/>
    <row r="6" spans="2:9" ht="28.5" x14ac:dyDescent="0.25">
      <c r="B6" s="45" t="s">
        <v>3</v>
      </c>
      <c r="C6" s="45" t="s">
        <v>28</v>
      </c>
      <c r="D6" s="46" t="s">
        <v>43</v>
      </c>
      <c r="E6" s="46" t="s">
        <v>42</v>
      </c>
      <c r="F6" s="46" t="s">
        <v>44</v>
      </c>
      <c r="G6" s="82"/>
    </row>
    <row r="7" spans="2:9" ht="31.5" x14ac:dyDescent="0.25">
      <c r="B7" s="73" t="s">
        <v>37</v>
      </c>
      <c r="C7" s="75" t="s">
        <v>12</v>
      </c>
      <c r="D7" s="77"/>
      <c r="E7" s="78"/>
      <c r="F7" s="79"/>
      <c r="G7" s="83"/>
      <c r="H7" s="131" t="s">
        <v>45</v>
      </c>
      <c r="I7" s="132"/>
    </row>
    <row r="8" spans="2:9" ht="18.75" x14ac:dyDescent="0.25">
      <c r="B8" s="74" t="s">
        <v>39</v>
      </c>
      <c r="C8" s="81" t="s">
        <v>12</v>
      </c>
      <c r="D8" s="77">
        <v>74000</v>
      </c>
      <c r="E8" s="77">
        <v>77400</v>
      </c>
      <c r="F8" s="80">
        <f>E8/D8-1</f>
        <v>4.5945945945945921E-2</v>
      </c>
      <c r="G8" s="83">
        <f>E8-D8</f>
        <v>3400</v>
      </c>
      <c r="H8" s="84">
        <v>75600</v>
      </c>
      <c r="I8" s="85">
        <f>H8/D8-1</f>
        <v>2.1621621621621623E-2</v>
      </c>
    </row>
    <row r="9" spans="2:9" ht="18.75" x14ac:dyDescent="0.25">
      <c r="B9" s="74" t="s">
        <v>40</v>
      </c>
      <c r="C9" s="81" t="s">
        <v>12</v>
      </c>
      <c r="D9" s="78">
        <v>77000</v>
      </c>
      <c r="E9" s="78">
        <v>79000</v>
      </c>
      <c r="F9" s="80">
        <f t="shared" ref="F9:F14" si="0">E9/D9-1</f>
        <v>2.5974025974025983E-2</v>
      </c>
      <c r="G9" s="83">
        <f t="shared" ref="G9:G14" si="1">E9-D9</f>
        <v>2000</v>
      </c>
      <c r="H9" s="84">
        <v>77100</v>
      </c>
      <c r="I9" s="85">
        <f>H9/D9-1</f>
        <v>1.2987012987013546E-3</v>
      </c>
    </row>
    <row r="10" spans="2:9" ht="18.75" x14ac:dyDescent="0.25">
      <c r="B10" s="74" t="s">
        <v>41</v>
      </c>
      <c r="C10" s="81" t="s">
        <v>12</v>
      </c>
      <c r="D10" s="90">
        <v>81000</v>
      </c>
      <c r="E10" s="90">
        <v>86700</v>
      </c>
      <c r="F10" s="88">
        <f t="shared" si="0"/>
        <v>7.0370370370370416E-2</v>
      </c>
      <c r="G10" s="91">
        <f t="shared" si="1"/>
        <v>5700</v>
      </c>
      <c r="H10" s="84">
        <v>84900</v>
      </c>
      <c r="I10" s="85">
        <f>H10/D10-1</f>
        <v>4.8148148148148051E-2</v>
      </c>
    </row>
    <row r="11" spans="2:9" ht="63" x14ac:dyDescent="0.25">
      <c r="B11" s="73" t="s">
        <v>38</v>
      </c>
      <c r="C11" s="76" t="s">
        <v>12</v>
      </c>
      <c r="D11" s="77"/>
      <c r="E11" s="78"/>
      <c r="F11" s="80"/>
      <c r="G11" s="83"/>
      <c r="H11" s="84"/>
      <c r="I11" s="85"/>
    </row>
    <row r="12" spans="2:9" ht="18.75" x14ac:dyDescent="0.25">
      <c r="B12" s="74" t="s">
        <v>39</v>
      </c>
      <c r="C12" s="81" t="s">
        <v>12</v>
      </c>
      <c r="D12" s="86">
        <v>65000</v>
      </c>
      <c r="E12" s="86">
        <v>73500</v>
      </c>
      <c r="F12" s="88">
        <f t="shared" si="0"/>
        <v>0.13076923076923075</v>
      </c>
      <c r="G12" s="91">
        <f t="shared" si="1"/>
        <v>8500</v>
      </c>
      <c r="H12" s="84">
        <v>75000</v>
      </c>
      <c r="I12" s="85">
        <f>H12/D12-1</f>
        <v>0.15384615384615374</v>
      </c>
    </row>
    <row r="13" spans="2:9" ht="18.75" x14ac:dyDescent="0.25">
      <c r="B13" s="74" t="s">
        <v>40</v>
      </c>
      <c r="C13" s="81" t="s">
        <v>12</v>
      </c>
      <c r="D13" s="87">
        <v>68000</v>
      </c>
      <c r="E13" s="87">
        <v>75000</v>
      </c>
      <c r="F13" s="88">
        <f t="shared" si="0"/>
        <v>0.10294117647058831</v>
      </c>
      <c r="G13" s="91">
        <f t="shared" si="1"/>
        <v>7000</v>
      </c>
      <c r="H13" s="84">
        <v>76500</v>
      </c>
      <c r="I13" s="85">
        <f>H13/D13-1</f>
        <v>0.125</v>
      </c>
    </row>
    <row r="14" spans="2:9" ht="18.75" x14ac:dyDescent="0.25">
      <c r="B14" s="74" t="s">
        <v>41</v>
      </c>
      <c r="C14" s="81" t="s">
        <v>12</v>
      </c>
      <c r="D14" s="79">
        <v>72000</v>
      </c>
      <c r="E14" s="79">
        <v>82800</v>
      </c>
      <c r="F14" s="89">
        <f t="shared" si="0"/>
        <v>0.14999999999999991</v>
      </c>
      <c r="G14" s="91">
        <f t="shared" si="1"/>
        <v>10800</v>
      </c>
      <c r="H14" s="84">
        <v>84300</v>
      </c>
      <c r="I14" s="85">
        <f>H14/D14-1</f>
        <v>0.17083333333333339</v>
      </c>
    </row>
  </sheetData>
  <mergeCells count="1">
    <mergeCell ref="H7:I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Y14" sqref="Y1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Кабель</vt:lpstr>
      <vt:lpstr>Колодцы</vt:lpstr>
      <vt:lpstr>Сравнительный анализ</vt:lpstr>
      <vt:lpstr>ЖДТ</vt:lpstr>
      <vt:lpstr>Кабель!Область_печати</vt:lpstr>
      <vt:lpstr>Колодцы!Область_печати</vt:lpstr>
      <vt:lpstr>'Сравнительный анализ'!Область_печати</vt:lpstr>
    </vt:vector>
  </TitlesOfParts>
  <Company>РН-Юганскнефтегаз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Наталья Борисовна</dc:creator>
  <cp:lastModifiedBy>Мельников Владимир Владимирович</cp:lastModifiedBy>
  <cp:lastPrinted>2019-07-09T08:01:59Z</cp:lastPrinted>
  <dcterms:created xsi:type="dcterms:W3CDTF">2017-01-30T08:08:56Z</dcterms:created>
  <dcterms:modified xsi:type="dcterms:W3CDTF">2022-02-09T10:48:01Z</dcterms:modified>
</cp:coreProperties>
</file>